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uk48\OneDrive\Desktop\"/>
    </mc:Choice>
  </mc:AlternateContent>
  <xr:revisionPtr revIDLastSave="0" documentId="8_{D33DA6EA-F576-4050-99CA-E499CAF240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Sheet1!$I$4:$I$26</definedName>
    <definedName name="stajnjak">Sheet1!#REF!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25" i="1"/>
  <c r="C26" i="1" s="1"/>
  <c r="C36" i="1" s="1"/>
  <c r="C37" i="1" s="1"/>
  <c r="C21" i="1"/>
  <c r="C24" i="1" s="1"/>
  <c r="C32" i="1"/>
  <c r="C28" i="1"/>
  <c r="C29" i="1" s="1"/>
  <c r="C27" i="1"/>
  <c r="C30" i="1" s="1"/>
  <c r="C22" i="1"/>
  <c r="C23" i="1"/>
  <c r="C31" i="1" l="1"/>
  <c r="C33" i="1" s="1"/>
  <c r="C34" i="1" s="1"/>
  <c r="C35" i="1" s="1"/>
  <c r="C38" i="1" s="1"/>
</calcChain>
</file>

<file path=xl/sharedStrings.xml><?xml version="1.0" encoding="utf-8"?>
<sst xmlns="http://schemas.openxmlformats.org/spreadsheetml/2006/main" count="126" uniqueCount="116">
  <si>
    <t>pH-KCL</t>
  </si>
  <si>
    <t>Gnoj</t>
  </si>
  <si>
    <t>N</t>
  </si>
  <si>
    <t>10. Svinjska gnojovka 40 t/ha</t>
  </si>
  <si>
    <t>11. Svinjska gnojovka 50 t/ha</t>
  </si>
  <si>
    <t>12. Svinjska gnojovka 60 t/ha</t>
  </si>
  <si>
    <t>13. Svinjska gnojovka 80 t/ha</t>
  </si>
  <si>
    <t>14. Svinjska gnojovka 100 t/ha</t>
  </si>
  <si>
    <t>15. Goveđa gnojovka 10 t/ha</t>
  </si>
  <si>
    <t>16. Goveđa gnojovka 20 t/ha</t>
  </si>
  <si>
    <t>17. Goveđa gnojovka 30 t/ha</t>
  </si>
  <si>
    <t>18. Goveđa gnojovka 40 t/ha</t>
  </si>
  <si>
    <t>19. Goveđa gnojovka 50 t/ha</t>
  </si>
  <si>
    <t>20. Goveđa gnojovka 60 t/ha</t>
  </si>
  <si>
    <t>21. Goveđa gnojovka 80 t/ha</t>
  </si>
  <si>
    <t>22. Goveđa gnojovka 100 t/ha</t>
  </si>
  <si>
    <t>10. suncokret</t>
  </si>
  <si>
    <t>11. uljana repica</t>
  </si>
  <si>
    <t>12. krumpir</t>
  </si>
  <si>
    <t>13. lucerna</t>
  </si>
  <si>
    <t>14. stočni grašak</t>
  </si>
  <si>
    <t>15. djetelina</t>
  </si>
  <si>
    <t>16. ugar</t>
  </si>
  <si>
    <t>Predusjev</t>
  </si>
  <si>
    <t>Prinos predusjeva t/ha</t>
  </si>
  <si>
    <t>Humus %</t>
  </si>
  <si>
    <t>Teksturna klasa</t>
  </si>
  <si>
    <t>KIK meqv/100g</t>
  </si>
  <si>
    <t>1. Lako pjeskovito</t>
  </si>
  <si>
    <t>2. Lako ilovasto</t>
  </si>
  <si>
    <t>3. Ilovasto</t>
  </si>
  <si>
    <t>4. Glinasta ilovača</t>
  </si>
  <si>
    <t>5. Sred. teška glina</t>
  </si>
  <si>
    <t>6. Vrlo teška glina</t>
  </si>
  <si>
    <t>ρ</t>
  </si>
  <si>
    <t>vt_PVK</t>
  </si>
  <si>
    <t>glina</t>
  </si>
  <si>
    <t>2. osrednja</t>
  </si>
  <si>
    <t>1. loša</t>
  </si>
  <si>
    <t>3. dobra</t>
  </si>
  <si>
    <t>N-org u akt. humusu kg/ha</t>
  </si>
  <si>
    <t>C:P omjer u žet. ost.</t>
  </si>
  <si>
    <t>01. pšenica ozima</t>
  </si>
  <si>
    <t>02. pšenica jara</t>
  </si>
  <si>
    <t>03. kukuruz</t>
  </si>
  <si>
    <t>04. silažni kukuruz</t>
  </si>
  <si>
    <t>05. ječam ozimi</t>
  </si>
  <si>
    <t>06. ječam jari</t>
  </si>
  <si>
    <t>08. šećerna repa</t>
  </si>
  <si>
    <t>09. soja</t>
  </si>
  <si>
    <t>07. zob</t>
  </si>
  <si>
    <t>00. Bez organskog gnoja</t>
  </si>
  <si>
    <t>01. Goveđi stajnjak 10 t/ha</t>
  </si>
  <si>
    <t>02. Goveđi stajnjak 20 t/ha</t>
  </si>
  <si>
    <t>03. Goveđi stajnjak 30 t/ha</t>
  </si>
  <si>
    <t>04. Goveđi stajnjak 40 t/ha</t>
  </si>
  <si>
    <t>05. Goveđi stajnjak 50 t/ha</t>
  </si>
  <si>
    <t>06. Goveđi stajnjak 60 t/ha</t>
  </si>
  <si>
    <t>07. Svinjska gnojovka 10 t/ha</t>
  </si>
  <si>
    <t>08. Svinjska gnojovka 20 t/ha</t>
  </si>
  <si>
    <t>09. Svinjska gnojovka 30 t/ha</t>
  </si>
  <si>
    <t>C:N omjer u žet. ost.</t>
  </si>
  <si>
    <t>f-min C:N:P</t>
  </si>
  <si>
    <t>f-min za C:N omjer</t>
  </si>
  <si>
    <t>f-min za C:P omjer</t>
  </si>
  <si>
    <t>1. 601-650 mm</t>
  </si>
  <si>
    <t>2. 651-700 mm</t>
  </si>
  <si>
    <t>3. 701-750 mm</t>
  </si>
  <si>
    <t>4. 751-800 mm</t>
  </si>
  <si>
    <t>5. 801-850 mm</t>
  </si>
  <si>
    <t>6. 851-900 mm</t>
  </si>
  <si>
    <t>min. akt. humusa kg/ha/dan</t>
  </si>
  <si>
    <t>Rezultati:</t>
  </si>
  <si>
    <t>Unos podataka:</t>
  </si>
  <si>
    <t>temp. fakt. mineralizacije ž.o.</t>
  </si>
  <si>
    <t>frakcija N u akt. humus</t>
  </si>
  <si>
    <t>potenc. min. N kg/ha</t>
  </si>
  <si>
    <t>rata min. kg/ha/dan</t>
  </si>
  <si>
    <t>God. prim. stajnjaka</t>
  </si>
  <si>
    <t>Uputa:</t>
  </si>
  <si>
    <t>Prof. dr. sc. Vladimir Vukadinović</t>
  </si>
  <si>
    <t>Oborine mm/god.</t>
  </si>
  <si>
    <t>rata min. N kg/ha/god.</t>
  </si>
  <si>
    <t>min. akt. humusa kg/ha/god.</t>
  </si>
  <si>
    <t>Biogenost tla</t>
  </si>
  <si>
    <t>Žetveni ostaci t/ha</t>
  </si>
  <si>
    <t>Stajnjak t/ha</t>
  </si>
  <si>
    <t>Broj god. od prim. stajnjaka</t>
  </si>
  <si>
    <t>e-mail: vladimir@tlo-i-biljka.eu</t>
  </si>
  <si>
    <t>web: http://tlo-i-biljka.eu</t>
  </si>
  <si>
    <t>a) Za unos podataka (desni stupac) u zelena polja koristite padajući izbornik,</t>
  </si>
  <si>
    <t>b) Vrijednosti označene crveno promjenite sukladno analizi tla,</t>
  </si>
  <si>
    <t>faktor-pH-KCl</t>
  </si>
  <si>
    <r>
      <t>AL-P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O</t>
    </r>
    <r>
      <rPr>
        <b/>
        <vertAlign val="subscript"/>
        <sz val="10"/>
        <rFont val="Arial"/>
        <family val="2"/>
        <charset val="238"/>
      </rPr>
      <t>5</t>
    </r>
    <r>
      <rPr>
        <b/>
        <sz val="10"/>
        <rFont val="Arial"/>
        <family val="2"/>
        <charset val="238"/>
      </rPr>
      <t xml:space="preserve"> mg/100g</t>
    </r>
  </si>
  <si>
    <r>
      <t>AL-K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O mg/100g</t>
    </r>
  </si>
  <si>
    <t xml:space="preserve"> (eksperimentalni program, v1.1, Osijek 2010.)</t>
  </si>
  <si>
    <t>agroek. intenz. miner. ž.o.</t>
  </si>
  <si>
    <r>
      <t>P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O</t>
    </r>
    <r>
      <rPr>
        <b/>
        <vertAlign val="subscript"/>
        <sz val="10"/>
        <rFont val="Arial"/>
        <family val="2"/>
        <charset val="238"/>
      </rPr>
      <t>5</t>
    </r>
  </si>
  <si>
    <r>
      <t>K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O</t>
    </r>
  </si>
  <si>
    <t>Konc. aktivne tvari u org. gnoju</t>
  </si>
  <si>
    <t>Iznošenje hraniva žetvenim ostacima (kg/t)</t>
  </si>
  <si>
    <t>Teksturna klasa tla</t>
  </si>
  <si>
    <r>
      <t>temp. C</t>
    </r>
    <r>
      <rPr>
        <b/>
        <vertAlign val="superscript"/>
        <sz val="10"/>
        <rFont val="Arial"/>
        <family val="2"/>
        <charset val="238"/>
      </rPr>
      <t>o</t>
    </r>
  </si>
  <si>
    <t>God. temp. i oborine</t>
  </si>
  <si>
    <t>vt_PVK = točka trajog uvenuća</t>
  </si>
  <si>
    <t>glina = glina tla u %</t>
  </si>
  <si>
    <r>
      <t>ρ = volumna gustoća kg/dm</t>
    </r>
    <r>
      <rPr>
        <b/>
        <vertAlign val="superscript"/>
        <sz val="8"/>
        <rFont val="Arial"/>
        <family val="2"/>
        <charset val="238"/>
      </rPr>
      <t>3</t>
    </r>
  </si>
  <si>
    <t>God. rata N mineralizacije:</t>
  </si>
  <si>
    <t>hraniva u žet. ost. kg/ha</t>
  </si>
  <si>
    <t>hraniva u gnoju kg/ha</t>
  </si>
  <si>
    <t>Potencijal mineralizacije organske tvari u tlu</t>
  </si>
  <si>
    <t>f-biogen.</t>
  </si>
  <si>
    <t>f-obor.</t>
  </si>
  <si>
    <t>c) Izračunati indikatori označeni su zeleno i</t>
  </si>
  <si>
    <t xml:space="preserve">d) Pozdanost pNmin jako ovisi o vremenskim prilikama.  </t>
  </si>
  <si>
    <t>Tablične vrijednosti možete promijeniti ako imate pouzdane analitičke vrijednosti!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</si>
</sst>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"/>
    <numFmt numFmtId="167" formatCode="0.00000"/>
  </numFmts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  <font>
      <i/>
      <u/>
      <sz val="10"/>
      <color indexed="12"/>
      <name val="Arial"/>
      <family val="2"/>
      <charset val="238"/>
    </font>
    <font>
      <b/>
      <sz val="10"/>
      <color rgb="FF006600"/>
      <name val="Arial"/>
      <family val="2"/>
      <charset val="238"/>
    </font>
    <font>
      <b/>
      <sz val="12"/>
      <color rgb="FF006600"/>
      <name val="Arial"/>
      <family val="2"/>
      <charset val="238"/>
    </font>
    <font>
      <b/>
      <sz val="14"/>
      <name val="Arial"/>
      <family val="2"/>
      <charset val="238"/>
    </font>
    <font>
      <b/>
      <vertAlign val="subscript"/>
      <sz val="10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quotePrefix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1" xfId="0" quotePrefix="1" applyNumberFormat="1" applyFont="1" applyBorder="1" applyAlignment="1">
      <alignment horizontal="center" vertical="center"/>
    </xf>
    <xf numFmtId="2" fontId="2" fillId="2" borderId="4" xfId="0" quotePrefix="1" applyNumberFormat="1" applyFont="1" applyFill="1" applyBorder="1" applyAlignment="1">
      <alignment horizontal="left" vertical="center" indent="1"/>
    </xf>
    <xf numFmtId="0" fontId="2" fillId="2" borderId="6" xfId="0" quotePrefix="1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indent="1"/>
    </xf>
    <xf numFmtId="0" fontId="2" fillId="0" borderId="16" xfId="0" quotePrefix="1" applyFont="1" applyBorder="1" applyAlignment="1">
      <alignment horizontal="center" vertical="center"/>
    </xf>
    <xf numFmtId="0" fontId="2" fillId="0" borderId="17" xfId="0" quotePrefix="1" applyFont="1" applyBorder="1" applyAlignment="1">
      <alignment horizontal="center" vertical="center"/>
    </xf>
    <xf numFmtId="0" fontId="2" fillId="0" borderId="12" xfId="0" quotePrefix="1" applyFont="1" applyBorder="1" applyAlignment="1">
      <alignment horizontal="center" vertical="center"/>
    </xf>
    <xf numFmtId="0" fontId="8" fillId="0" borderId="9" xfId="0" quotePrefix="1" applyFont="1" applyBorder="1" applyAlignment="1">
      <alignment horizontal="left" vertical="center"/>
    </xf>
    <xf numFmtId="0" fontId="8" fillId="0" borderId="0" xfId="0" quotePrefix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5" xfId="0" quotePrefix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quotePrefix="1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" fillId="0" borderId="7" xfId="0" quotePrefix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3" xfId="0" quotePrefix="1" applyFont="1" applyBorder="1" applyAlignment="1">
      <alignment horizontal="left" vertical="center"/>
    </xf>
    <xf numFmtId="167" fontId="0" fillId="0" borderId="0" xfId="0" quotePrefix="1" applyNumberForma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quotePrefix="1" applyBorder="1" applyAlignment="1">
      <alignment horizontal="left" vertical="center"/>
    </xf>
    <xf numFmtId="2" fontId="0" fillId="0" borderId="0" xfId="0" quotePrefix="1" applyNumberFormat="1" applyAlignment="1">
      <alignment horizontal="left" vertical="center"/>
    </xf>
    <xf numFmtId="0" fontId="0" fillId="0" borderId="1" xfId="0" quotePrefix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quotePrefix="1" applyBorder="1" applyAlignment="1">
      <alignment horizontal="left" vertical="center"/>
    </xf>
    <xf numFmtId="0" fontId="0" fillId="0" borderId="0" xfId="0" quotePrefix="1" applyAlignment="1">
      <alignment horizontal="lef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/>
    </xf>
    <xf numFmtId="0" fontId="13" fillId="0" borderId="11" xfId="0" quotePrefix="1" applyFont="1" applyBorder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quotePrefix="1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quotePrefix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5" xfId="0" quotePrefix="1" applyFont="1" applyBorder="1" applyAlignment="1">
      <alignment horizontal="center" vertical="center"/>
    </xf>
    <xf numFmtId="0" fontId="11" fillId="0" borderId="1" xfId="1" quotePrefix="1" applyFont="1" applyBorder="1" applyAlignment="1" applyProtection="1">
      <alignment horizontal="center" vertical="center"/>
    </xf>
    <xf numFmtId="0" fontId="11" fillId="0" borderId="2" xfId="1" quotePrefix="1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13" fillId="0" borderId="12" xfId="0" applyNumberFormat="1" applyFont="1" applyBorder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2" fontId="12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3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quotePrefix="1" applyFont="1" applyAlignment="1">
      <alignment horizontal="left" vertical="center"/>
    </xf>
    <xf numFmtId="0" fontId="16" fillId="0" borderId="10" xfId="0" quotePrefix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lo-i-biljka.eu/" TargetMode="External"/><Relationship Id="rId1" Type="http://schemas.openxmlformats.org/officeDocument/2006/relationships/hyperlink" Target="mailto:vladimir@tlo-i-biljka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Q70"/>
  <sheetViews>
    <sheetView tabSelected="1" workbookViewId="0">
      <selection activeCell="B1" sqref="B1:C1"/>
    </sheetView>
  </sheetViews>
  <sheetFormatPr defaultRowHeight="12.75" x14ac:dyDescent="0.2"/>
  <cols>
    <col min="1" max="1" width="2.7109375" style="72" customWidth="1"/>
    <col min="2" max="2" width="30.7109375" style="72" customWidth="1"/>
    <col min="3" max="3" width="30.7109375" style="43" customWidth="1"/>
    <col min="4" max="4" width="5.7109375" style="72" customWidth="1"/>
    <col min="5" max="5" width="5.7109375" style="75" customWidth="1"/>
    <col min="6" max="6" width="5.7109375" style="43" customWidth="1"/>
    <col min="7" max="8" width="5.7109375" style="72" customWidth="1"/>
    <col min="9" max="9" width="25.7109375" style="72" customWidth="1"/>
    <col min="10" max="12" width="8.7109375" style="72" customWidth="1"/>
    <col min="13" max="13" width="9.140625" style="72" customWidth="1"/>
    <col min="14" max="14" width="20.7109375" style="72" customWidth="1"/>
    <col min="15" max="17" width="8.7109375" style="72" customWidth="1"/>
    <col min="18" max="16384" width="9.140625" style="72"/>
  </cols>
  <sheetData>
    <row r="1" spans="2:17" s="1" customFormat="1" ht="18" customHeight="1" x14ac:dyDescent="0.2">
      <c r="B1" s="97" t="s">
        <v>110</v>
      </c>
      <c r="C1" s="97"/>
      <c r="E1" s="2"/>
      <c r="I1" s="101" t="s">
        <v>115</v>
      </c>
      <c r="J1" s="100"/>
      <c r="K1" s="100"/>
      <c r="L1" s="100"/>
      <c r="M1" s="100"/>
      <c r="N1" s="100"/>
      <c r="O1" s="100"/>
      <c r="P1" s="100"/>
      <c r="Q1" s="100"/>
    </row>
    <row r="2" spans="2:17" s="1" customFormat="1" ht="15.95" customHeight="1" thickBot="1" x14ac:dyDescent="0.25">
      <c r="B2" s="98" t="s">
        <v>95</v>
      </c>
      <c r="C2" s="99"/>
      <c r="E2" s="2"/>
      <c r="I2" s="92" t="s">
        <v>99</v>
      </c>
      <c r="J2" s="93"/>
      <c r="K2" s="93"/>
      <c r="L2" s="93"/>
      <c r="N2" s="92" t="s">
        <v>100</v>
      </c>
      <c r="O2" s="92"/>
      <c r="P2" s="92"/>
      <c r="Q2" s="92"/>
    </row>
    <row r="3" spans="2:17" s="43" customFormat="1" ht="14.1" customHeight="1" thickBot="1" x14ac:dyDescent="0.25">
      <c r="B3" s="95" t="s">
        <v>73</v>
      </c>
      <c r="C3" s="95"/>
      <c r="E3" s="44"/>
      <c r="I3" s="5" t="s">
        <v>1</v>
      </c>
      <c r="J3" s="5" t="s">
        <v>2</v>
      </c>
      <c r="K3" s="38" t="s">
        <v>97</v>
      </c>
      <c r="L3" s="39" t="s">
        <v>98</v>
      </c>
      <c r="N3" s="20" t="s">
        <v>23</v>
      </c>
      <c r="O3" s="5" t="s">
        <v>2</v>
      </c>
      <c r="P3" s="38" t="s">
        <v>97</v>
      </c>
      <c r="Q3" s="39" t="s">
        <v>98</v>
      </c>
    </row>
    <row r="4" spans="2:17" s="43" customFormat="1" ht="14.1" customHeight="1" thickBot="1" x14ac:dyDescent="0.25">
      <c r="B4" s="45" t="s">
        <v>81</v>
      </c>
      <c r="C4" s="35" t="s">
        <v>66</v>
      </c>
      <c r="E4" s="44"/>
      <c r="I4" s="46" t="s">
        <v>51</v>
      </c>
      <c r="J4" s="6">
        <v>0</v>
      </c>
      <c r="K4" s="7">
        <v>0</v>
      </c>
      <c r="L4" s="8">
        <v>0</v>
      </c>
      <c r="N4" s="46" t="s">
        <v>42</v>
      </c>
      <c r="O4" s="22">
        <v>5</v>
      </c>
      <c r="P4" s="23">
        <v>2</v>
      </c>
      <c r="Q4" s="14">
        <v>10</v>
      </c>
    </row>
    <row r="5" spans="2:17" s="43" customFormat="1" ht="14.1" customHeight="1" thickTop="1" x14ac:dyDescent="0.2">
      <c r="B5" s="47"/>
      <c r="C5" s="48"/>
      <c r="E5" s="44"/>
      <c r="I5" s="46" t="s">
        <v>52</v>
      </c>
      <c r="J5" s="6">
        <v>60</v>
      </c>
      <c r="K5" s="7">
        <v>30</v>
      </c>
      <c r="L5" s="8">
        <v>60</v>
      </c>
      <c r="N5" s="46" t="s">
        <v>43</v>
      </c>
      <c r="O5" s="22">
        <v>3</v>
      </c>
      <c r="P5" s="23">
        <v>1.7</v>
      </c>
      <c r="Q5" s="14">
        <v>10</v>
      </c>
    </row>
    <row r="6" spans="2:17" s="43" customFormat="1" ht="14.1" customHeight="1" x14ac:dyDescent="0.2">
      <c r="B6" s="49" t="s">
        <v>0</v>
      </c>
      <c r="C6" s="87">
        <v>5.75</v>
      </c>
      <c r="E6" s="44"/>
      <c r="I6" s="46" t="s">
        <v>53</v>
      </c>
      <c r="J6" s="6">
        <v>120</v>
      </c>
      <c r="K6" s="7">
        <v>60</v>
      </c>
      <c r="L6" s="8">
        <v>120</v>
      </c>
      <c r="N6" s="46" t="s">
        <v>44</v>
      </c>
      <c r="O6" s="22">
        <v>7.5</v>
      </c>
      <c r="P6" s="23">
        <v>3</v>
      </c>
      <c r="Q6" s="14">
        <v>15</v>
      </c>
    </row>
    <row r="7" spans="2:17" s="43" customFormat="1" ht="14.1" customHeight="1" x14ac:dyDescent="0.2">
      <c r="B7" s="49" t="s">
        <v>25</v>
      </c>
      <c r="C7" s="87">
        <v>2</v>
      </c>
      <c r="E7" s="44"/>
      <c r="I7" s="46" t="s">
        <v>54</v>
      </c>
      <c r="J7" s="6">
        <v>180</v>
      </c>
      <c r="K7" s="7">
        <v>90</v>
      </c>
      <c r="L7" s="8">
        <v>180</v>
      </c>
      <c r="N7" s="46" t="s">
        <v>45</v>
      </c>
      <c r="O7" s="22">
        <v>8.5</v>
      </c>
      <c r="P7" s="23">
        <v>2.5</v>
      </c>
      <c r="Q7" s="14">
        <v>16</v>
      </c>
    </row>
    <row r="8" spans="2:17" s="43" customFormat="1" ht="14.1" customHeight="1" x14ac:dyDescent="0.2">
      <c r="B8" s="50" t="s">
        <v>93</v>
      </c>
      <c r="C8" s="87">
        <v>17.55</v>
      </c>
      <c r="E8" s="44"/>
      <c r="I8" s="46" t="s">
        <v>55</v>
      </c>
      <c r="J8" s="6">
        <v>240</v>
      </c>
      <c r="K8" s="7">
        <v>120</v>
      </c>
      <c r="L8" s="8">
        <v>240</v>
      </c>
      <c r="N8" s="46" t="s">
        <v>46</v>
      </c>
      <c r="O8" s="22">
        <v>4</v>
      </c>
      <c r="P8" s="23">
        <v>1.8</v>
      </c>
      <c r="Q8" s="14">
        <v>12</v>
      </c>
    </row>
    <row r="9" spans="2:17" s="43" customFormat="1" ht="14.1" customHeight="1" thickBot="1" x14ac:dyDescent="0.25">
      <c r="B9" s="50" t="s">
        <v>94</v>
      </c>
      <c r="C9" s="87">
        <v>21.38</v>
      </c>
      <c r="E9" s="44"/>
      <c r="I9" s="46" t="s">
        <v>56</v>
      </c>
      <c r="J9" s="6">
        <v>300</v>
      </c>
      <c r="K9" s="7">
        <v>150</v>
      </c>
      <c r="L9" s="8">
        <v>300</v>
      </c>
      <c r="N9" s="46" t="s">
        <v>47</v>
      </c>
      <c r="O9" s="22">
        <v>3.7</v>
      </c>
      <c r="P9" s="23">
        <v>1.8</v>
      </c>
      <c r="Q9" s="14">
        <v>12</v>
      </c>
    </row>
    <row r="10" spans="2:17" s="43" customFormat="1" ht="14.1" customHeight="1" thickTop="1" thickBot="1" x14ac:dyDescent="0.25">
      <c r="B10" s="49" t="s">
        <v>26</v>
      </c>
      <c r="C10" s="36" t="s">
        <v>30</v>
      </c>
      <c r="E10" s="44"/>
      <c r="I10" s="46" t="s">
        <v>57</v>
      </c>
      <c r="J10" s="6">
        <v>360</v>
      </c>
      <c r="K10" s="7">
        <v>180</v>
      </c>
      <c r="L10" s="8">
        <v>360</v>
      </c>
      <c r="N10" s="46" t="s">
        <v>50</v>
      </c>
      <c r="O10" s="22">
        <v>4</v>
      </c>
      <c r="P10" s="23">
        <v>3</v>
      </c>
      <c r="Q10" s="14">
        <v>20</v>
      </c>
    </row>
    <row r="11" spans="2:17" s="43" customFormat="1" ht="14.1" customHeight="1" thickTop="1" thickBot="1" x14ac:dyDescent="0.25">
      <c r="B11" s="51" t="s">
        <v>27</v>
      </c>
      <c r="C11" s="88" t="str">
        <f>FIXED(250*C7/100 + 65*VLOOKUP(C10,I29:L34,4)/100,2) &amp; "  (humus=" &amp; FIXED(250*C7/100,1) &amp; " glina=" &amp; FIXED(65*VLOOKUP(C10,I29:L34,4)/100,1) &amp; ")"</f>
        <v>18.00  (humus=5.0 glina=13.0)</v>
      </c>
      <c r="E11" s="44"/>
      <c r="I11" s="46" t="s">
        <v>58</v>
      </c>
      <c r="J11" s="6">
        <v>35</v>
      </c>
      <c r="K11" s="7">
        <v>25</v>
      </c>
      <c r="L11" s="8">
        <v>20</v>
      </c>
      <c r="N11" s="46" t="s">
        <v>48</v>
      </c>
      <c r="O11" s="22">
        <v>4.5</v>
      </c>
      <c r="P11" s="23">
        <v>1.6</v>
      </c>
      <c r="Q11" s="14">
        <v>8</v>
      </c>
    </row>
    <row r="12" spans="2:17" s="43" customFormat="1" ht="14.1" customHeight="1" thickTop="1" thickBot="1" x14ac:dyDescent="0.25">
      <c r="B12" s="50" t="s">
        <v>84</v>
      </c>
      <c r="C12" s="37" t="s">
        <v>37</v>
      </c>
      <c r="E12" s="44"/>
      <c r="I12" s="46" t="s">
        <v>59</v>
      </c>
      <c r="J12" s="6">
        <v>70</v>
      </c>
      <c r="K12" s="7">
        <v>50</v>
      </c>
      <c r="L12" s="8">
        <v>40</v>
      </c>
      <c r="N12" s="47" t="s">
        <v>49</v>
      </c>
      <c r="O12" s="22">
        <v>12</v>
      </c>
      <c r="P12" s="23">
        <v>3.1</v>
      </c>
      <c r="Q12" s="14">
        <v>5</v>
      </c>
    </row>
    <row r="13" spans="2:17" s="43" customFormat="1" ht="14.1" customHeight="1" thickTop="1" thickBot="1" x14ac:dyDescent="0.25">
      <c r="B13" s="47"/>
      <c r="C13" s="48"/>
      <c r="E13" s="44"/>
      <c r="I13" s="46" t="s">
        <v>60</v>
      </c>
      <c r="J13" s="6">
        <v>105</v>
      </c>
      <c r="K13" s="7">
        <v>75</v>
      </c>
      <c r="L13" s="8">
        <v>60</v>
      </c>
      <c r="N13" s="47" t="s">
        <v>16</v>
      </c>
      <c r="O13" s="22">
        <v>12</v>
      </c>
      <c r="P13" s="23">
        <v>3</v>
      </c>
      <c r="Q13" s="14">
        <v>15</v>
      </c>
    </row>
    <row r="14" spans="2:17" s="43" customFormat="1" ht="14.1" customHeight="1" thickTop="1" thickBot="1" x14ac:dyDescent="0.25">
      <c r="B14" s="50" t="s">
        <v>23</v>
      </c>
      <c r="C14" s="36" t="s">
        <v>45</v>
      </c>
      <c r="E14" s="44"/>
      <c r="I14" s="46" t="s">
        <v>3</v>
      </c>
      <c r="J14" s="6">
        <v>140</v>
      </c>
      <c r="K14" s="7">
        <v>100</v>
      </c>
      <c r="L14" s="8">
        <v>80</v>
      </c>
      <c r="N14" s="47" t="s">
        <v>17</v>
      </c>
      <c r="O14" s="22">
        <v>8</v>
      </c>
      <c r="P14" s="23">
        <v>2.5</v>
      </c>
      <c r="Q14" s="14">
        <v>11</v>
      </c>
    </row>
    <row r="15" spans="2:17" s="43" customFormat="1" ht="14.1" customHeight="1" thickTop="1" x14ac:dyDescent="0.2">
      <c r="B15" s="50" t="s">
        <v>24</v>
      </c>
      <c r="C15" s="89">
        <v>6</v>
      </c>
      <c r="E15" s="44"/>
      <c r="I15" s="46" t="s">
        <v>4</v>
      </c>
      <c r="J15" s="6">
        <v>175</v>
      </c>
      <c r="K15" s="7">
        <v>125</v>
      </c>
      <c r="L15" s="8">
        <v>100</v>
      </c>
      <c r="N15" s="47" t="s">
        <v>18</v>
      </c>
      <c r="O15" s="22">
        <v>3.5</v>
      </c>
      <c r="P15" s="23">
        <v>1</v>
      </c>
      <c r="Q15" s="14">
        <v>3</v>
      </c>
    </row>
    <row r="16" spans="2:17" s="43" customFormat="1" ht="14.1" customHeight="1" thickBot="1" x14ac:dyDescent="0.25">
      <c r="B16" s="50" t="s">
        <v>85</v>
      </c>
      <c r="C16" s="89">
        <v>2.5</v>
      </c>
      <c r="E16" s="44"/>
      <c r="I16" s="46" t="s">
        <v>5</v>
      </c>
      <c r="J16" s="6">
        <v>220</v>
      </c>
      <c r="K16" s="7">
        <v>150</v>
      </c>
      <c r="L16" s="8">
        <v>120</v>
      </c>
      <c r="N16" s="47" t="s">
        <v>19</v>
      </c>
      <c r="O16" s="22">
        <v>25</v>
      </c>
      <c r="P16" s="23">
        <v>7</v>
      </c>
      <c r="Q16" s="14">
        <v>30</v>
      </c>
    </row>
    <row r="17" spans="2:17" s="43" customFormat="1" ht="14.1" customHeight="1" thickTop="1" thickBot="1" x14ac:dyDescent="0.25">
      <c r="B17" s="50" t="s">
        <v>86</v>
      </c>
      <c r="C17" s="36" t="s">
        <v>3</v>
      </c>
      <c r="E17" s="44"/>
      <c r="I17" s="46" t="s">
        <v>6</v>
      </c>
      <c r="J17" s="6">
        <v>280</v>
      </c>
      <c r="K17" s="7">
        <v>175</v>
      </c>
      <c r="L17" s="8">
        <v>140</v>
      </c>
      <c r="N17" s="47" t="s">
        <v>20</v>
      </c>
      <c r="O17" s="22">
        <v>25</v>
      </c>
      <c r="P17" s="23">
        <v>8</v>
      </c>
      <c r="Q17" s="14">
        <v>25</v>
      </c>
    </row>
    <row r="18" spans="2:17" s="43" customFormat="1" ht="14.1" customHeight="1" thickTop="1" thickBot="1" x14ac:dyDescent="0.25">
      <c r="B18" s="52" t="s">
        <v>87</v>
      </c>
      <c r="C18" s="86">
        <v>3</v>
      </c>
      <c r="E18" s="44"/>
      <c r="I18" s="46" t="s">
        <v>7</v>
      </c>
      <c r="J18" s="6">
        <v>350</v>
      </c>
      <c r="K18" s="7">
        <v>200</v>
      </c>
      <c r="L18" s="8">
        <v>160</v>
      </c>
      <c r="N18" s="47" t="s">
        <v>21</v>
      </c>
      <c r="O18" s="22">
        <v>25</v>
      </c>
      <c r="P18" s="23">
        <v>8</v>
      </c>
      <c r="Q18" s="14">
        <v>30</v>
      </c>
    </row>
    <row r="19" spans="2:17" s="43" customFormat="1" ht="14.1" customHeight="1" thickBot="1" x14ac:dyDescent="0.25">
      <c r="B19" s="53"/>
      <c r="C19" s="54"/>
      <c r="E19" s="44"/>
      <c r="I19" s="46" t="s">
        <v>8</v>
      </c>
      <c r="J19" s="6">
        <v>25</v>
      </c>
      <c r="K19" s="7">
        <v>17</v>
      </c>
      <c r="L19" s="8">
        <v>25</v>
      </c>
      <c r="N19" s="55" t="s">
        <v>22</v>
      </c>
      <c r="O19" s="24">
        <v>0</v>
      </c>
      <c r="P19" s="25">
        <v>0</v>
      </c>
      <c r="Q19" s="17">
        <v>0</v>
      </c>
    </row>
    <row r="20" spans="2:17" s="43" customFormat="1" ht="14.1" customHeight="1" thickBot="1" x14ac:dyDescent="0.25">
      <c r="B20" s="96" t="s">
        <v>72</v>
      </c>
      <c r="C20" s="96"/>
      <c r="E20" s="44"/>
      <c r="I20" s="46" t="s">
        <v>9</v>
      </c>
      <c r="J20" s="6">
        <v>50</v>
      </c>
      <c r="K20" s="7">
        <v>34</v>
      </c>
      <c r="L20" s="8">
        <v>50</v>
      </c>
    </row>
    <row r="21" spans="2:17" s="43" customFormat="1" ht="14.1" customHeight="1" thickBot="1" x14ac:dyDescent="0.25">
      <c r="B21" s="56" t="s">
        <v>92</v>
      </c>
      <c r="C21" s="30">
        <f>IF(0.0025*C6^5-0.0665*C6^4+0.6184*C6^3-2.3543*C6^2+3.1478*C6&gt;=1,1,0.0025*C6^5-0.0665*C6^4+0.6184*C6^3-2.3543*C6^2+3.1478*C6)</f>
        <v>0.84509951171873965</v>
      </c>
      <c r="E21" s="57"/>
      <c r="I21" s="46" t="s">
        <v>10</v>
      </c>
      <c r="J21" s="6">
        <v>75</v>
      </c>
      <c r="K21" s="7">
        <v>51</v>
      </c>
      <c r="L21" s="8">
        <v>75</v>
      </c>
      <c r="N21" s="40" t="s">
        <v>84</v>
      </c>
      <c r="O21" s="39" t="s">
        <v>111</v>
      </c>
    </row>
    <row r="22" spans="2:17" s="43" customFormat="1" ht="14.1" customHeight="1" x14ac:dyDescent="0.2">
      <c r="B22" s="50" t="s">
        <v>108</v>
      </c>
      <c r="C22" s="31" t="str">
        <f xml:space="preserve"> FIXED(C16*VLOOKUP(C14,N4:Q19,2),1) &amp; " : " &amp; FIXED(C16*VLOOKUP(C14,N4:Q19,3),1) &amp; " : " &amp; FIXED(C16*VLOOKUP(C14,N4:Q19,4),1)</f>
        <v>21.3 : 6.3 : 40.0</v>
      </c>
      <c r="E22" s="58"/>
      <c r="I22" s="46" t="s">
        <v>11</v>
      </c>
      <c r="J22" s="6">
        <v>100</v>
      </c>
      <c r="K22" s="7">
        <v>68</v>
      </c>
      <c r="L22" s="8">
        <v>100</v>
      </c>
      <c r="N22" s="59" t="s">
        <v>38</v>
      </c>
      <c r="O22" s="90">
        <v>0.8</v>
      </c>
    </row>
    <row r="23" spans="2:17" s="43" customFormat="1" ht="14.1" customHeight="1" x14ac:dyDescent="0.2">
      <c r="B23" s="50" t="s">
        <v>109</v>
      </c>
      <c r="C23" s="32" t="str">
        <f>VLOOKUP(C17,I4:L26,2)&amp;" : "&amp;VLOOKUP(C17,I4:L26,3)&amp;" : "&amp;VLOOKUP(C17,I4:L26,4)</f>
        <v>140 : 100 : 80</v>
      </c>
      <c r="E23" s="58"/>
      <c r="I23" s="46" t="s">
        <v>12</v>
      </c>
      <c r="J23" s="6">
        <v>125</v>
      </c>
      <c r="K23" s="7">
        <v>85</v>
      </c>
      <c r="L23" s="8">
        <v>125</v>
      </c>
      <c r="N23" s="48" t="s">
        <v>37</v>
      </c>
      <c r="O23" s="90">
        <v>1</v>
      </c>
    </row>
    <row r="24" spans="2:17" s="43" customFormat="1" ht="14.1" customHeight="1" thickBot="1" x14ac:dyDescent="0.25">
      <c r="B24" s="50" t="s">
        <v>76</v>
      </c>
      <c r="C24" s="33">
        <f>(C16*VLOOKUP(C14,N4:Q19,2)+VLOOKUP(C17,I4:L26,2))*C21</f>
        <v>136.27229626464677</v>
      </c>
      <c r="E24" s="58"/>
      <c r="I24" s="46" t="s">
        <v>13</v>
      </c>
      <c r="J24" s="6">
        <v>150</v>
      </c>
      <c r="K24" s="7">
        <v>102</v>
      </c>
      <c r="L24" s="8">
        <v>150</v>
      </c>
      <c r="N24" s="60" t="s">
        <v>39</v>
      </c>
      <c r="O24" s="91">
        <v>1.2</v>
      </c>
    </row>
    <row r="25" spans="2:17" s="43" customFormat="1" ht="14.1" customHeight="1" thickBot="1" x14ac:dyDescent="0.25">
      <c r="B25" s="50" t="s">
        <v>75</v>
      </c>
      <c r="C25" s="33">
        <f>IF(LEFT(C17,2)="00",0.4*(-0.0277*1)+0.1,0.4*(-0.0277*C18)+0.1)</f>
        <v>6.6760000000000014E-2</v>
      </c>
      <c r="E25" s="58"/>
      <c r="I25" s="46" t="s">
        <v>14</v>
      </c>
      <c r="J25" s="6">
        <v>200</v>
      </c>
      <c r="K25" s="7">
        <v>119</v>
      </c>
      <c r="L25" s="8">
        <v>175</v>
      </c>
    </row>
    <row r="26" spans="2:17" s="43" customFormat="1" ht="14.1" customHeight="1" thickBot="1" x14ac:dyDescent="0.25">
      <c r="B26" s="50" t="s">
        <v>40</v>
      </c>
      <c r="C26" s="34">
        <f>C25*C7*VLOOKUP(C10,I29:L34,2)*10^6*3*C7/100*5/100</f>
        <v>560.78400000000011</v>
      </c>
      <c r="E26" s="57"/>
      <c r="I26" s="61" t="s">
        <v>15</v>
      </c>
      <c r="J26" s="9">
        <v>300</v>
      </c>
      <c r="K26" s="10">
        <v>136</v>
      </c>
      <c r="L26" s="11">
        <v>200</v>
      </c>
      <c r="N26" s="40" t="s">
        <v>103</v>
      </c>
      <c r="O26" s="38" t="s">
        <v>102</v>
      </c>
      <c r="P26" s="39" t="s">
        <v>112</v>
      </c>
    </row>
    <row r="27" spans="2:17" s="43" customFormat="1" ht="14.1" customHeight="1" thickBot="1" x14ac:dyDescent="0.25">
      <c r="B27" s="49" t="s">
        <v>41</v>
      </c>
      <c r="C27" s="33">
        <f>0.58*(C16*1000)/((VLOOKUP(C14,N4:Q19,3)*C16+VLOOKUP(C14,N4:Q19,3)*C16*0.6))/VLOOKUP(C12,N22:O24,2)</f>
        <v>145</v>
      </c>
      <c r="E27" s="44"/>
      <c r="J27" s="1"/>
      <c r="K27" s="1"/>
      <c r="L27" s="1"/>
      <c r="N27" s="59" t="s">
        <v>65</v>
      </c>
      <c r="O27" s="26">
        <v>12</v>
      </c>
      <c r="P27" s="27">
        <v>0.8</v>
      </c>
    </row>
    <row r="28" spans="2:17" s="43" customFormat="1" ht="14.1" customHeight="1" thickBot="1" x14ac:dyDescent="0.25">
      <c r="B28" s="50" t="s">
        <v>61</v>
      </c>
      <c r="C28" s="33">
        <f>0.58*(C16*1000)/(VLOOKUP(C14,N4:Q19,2)*C16)/VLOOKUP(C12,N22:O24,2)</f>
        <v>68.235294117647058</v>
      </c>
      <c r="E28" s="62"/>
      <c r="I28" s="21" t="s">
        <v>101</v>
      </c>
      <c r="J28" s="18" t="s">
        <v>34</v>
      </c>
      <c r="K28" s="18" t="s">
        <v>35</v>
      </c>
      <c r="L28" s="19" t="s">
        <v>36</v>
      </c>
      <c r="N28" s="63" t="s">
        <v>66</v>
      </c>
      <c r="O28" s="26">
        <v>11.5</v>
      </c>
      <c r="P28" s="27">
        <v>0.9</v>
      </c>
    </row>
    <row r="29" spans="2:17" s="43" customFormat="1" ht="14.1" customHeight="1" x14ac:dyDescent="0.2">
      <c r="B29" s="50" t="s">
        <v>63</v>
      </c>
      <c r="C29" s="33">
        <f>EXP(-0.693*(0.58*C28-25)/25)</f>
        <v>0.6676042209067159</v>
      </c>
      <c r="E29" s="44"/>
      <c r="I29" s="64" t="s">
        <v>28</v>
      </c>
      <c r="J29" s="12">
        <v>1.2</v>
      </c>
      <c r="K29" s="13">
        <v>0.25</v>
      </c>
      <c r="L29" s="14">
        <v>10</v>
      </c>
      <c r="N29" s="59" t="s">
        <v>67</v>
      </c>
      <c r="O29" s="26">
        <v>11</v>
      </c>
      <c r="P29" s="27">
        <v>1</v>
      </c>
    </row>
    <row r="30" spans="2:17" s="43" customFormat="1" ht="14.1" customHeight="1" x14ac:dyDescent="0.2">
      <c r="B30" s="50" t="s">
        <v>64</v>
      </c>
      <c r="C30" s="33">
        <f>EXP(-0.693*(C27-200)/200)</f>
        <v>1.2099451161182988</v>
      </c>
      <c r="E30" s="62"/>
      <c r="I30" s="48" t="s">
        <v>29</v>
      </c>
      <c r="J30" s="12">
        <v>1.3</v>
      </c>
      <c r="K30" s="13">
        <v>0.32500000000000001</v>
      </c>
      <c r="L30" s="14">
        <v>17.5</v>
      </c>
      <c r="N30" s="59" t="s">
        <v>68</v>
      </c>
      <c r="O30" s="26">
        <v>10.5</v>
      </c>
      <c r="P30" s="27">
        <v>0.9</v>
      </c>
    </row>
    <row r="31" spans="2:17" s="43" customFormat="1" ht="14.1" customHeight="1" x14ac:dyDescent="0.2">
      <c r="B31" s="50" t="s">
        <v>62</v>
      </c>
      <c r="C31" s="33">
        <f>MIN(C29,C30)</f>
        <v>0.6676042209067159</v>
      </c>
      <c r="E31" s="44"/>
      <c r="I31" s="48" t="s">
        <v>30</v>
      </c>
      <c r="J31" s="12">
        <v>1.4</v>
      </c>
      <c r="K31" s="13">
        <v>0.375</v>
      </c>
      <c r="L31" s="14">
        <v>20</v>
      </c>
      <c r="N31" s="59" t="s">
        <v>69</v>
      </c>
      <c r="O31" s="26">
        <v>10</v>
      </c>
      <c r="P31" s="27">
        <v>0.75</v>
      </c>
    </row>
    <row r="32" spans="2:17" s="43" customFormat="1" ht="14.1" customHeight="1" thickBot="1" x14ac:dyDescent="0.25">
      <c r="B32" s="50" t="s">
        <v>74</v>
      </c>
      <c r="C32" s="33">
        <f>0.41*(VLOOKUP(C4,N27:O32,2)-2.5)/10</f>
        <v>0.36899999999999999</v>
      </c>
      <c r="E32" s="44"/>
      <c r="I32" s="48" t="s">
        <v>31</v>
      </c>
      <c r="J32" s="12">
        <v>1.5</v>
      </c>
      <c r="K32" s="13">
        <v>0.4</v>
      </c>
      <c r="L32" s="14">
        <v>25</v>
      </c>
      <c r="N32" s="65" t="s">
        <v>70</v>
      </c>
      <c r="O32" s="28">
        <v>9.5</v>
      </c>
      <c r="P32" s="29">
        <v>0.6</v>
      </c>
    </row>
    <row r="33" spans="2:14" s="43" customFormat="1" ht="14.1" customHeight="1" thickBot="1" x14ac:dyDescent="0.25">
      <c r="B33" s="50" t="s">
        <v>96</v>
      </c>
      <c r="C33" s="33">
        <f>0.075*C31*SQRT(VLOOKUP(C10,I29:L34,3)*C32)*VLOOKUP(C4,N27:P32,3)</f>
        <v>1.6762996857722187E-2</v>
      </c>
      <c r="E33" s="62"/>
      <c r="F33" s="66"/>
      <c r="I33" s="48" t="s">
        <v>32</v>
      </c>
      <c r="J33" s="12">
        <v>1.65</v>
      </c>
      <c r="K33" s="13">
        <v>0.35</v>
      </c>
      <c r="L33" s="14">
        <v>35</v>
      </c>
    </row>
    <row r="34" spans="2:14" s="43" customFormat="1" ht="14.1" customHeight="1" thickBot="1" x14ac:dyDescent="0.25">
      <c r="B34" s="50" t="s">
        <v>77</v>
      </c>
      <c r="C34" s="33">
        <f>C33*(VLOOKUP(C14,N4:Q19,2)*C16+VLOOKUP(C17,I4:L26,2)/C18*0.25)*C21</f>
        <v>0.46631068178870799</v>
      </c>
      <c r="E34" s="67"/>
      <c r="I34" s="60" t="s">
        <v>33</v>
      </c>
      <c r="J34" s="15">
        <v>1.75</v>
      </c>
      <c r="K34" s="16">
        <v>0.3</v>
      </c>
      <c r="L34" s="17">
        <v>45</v>
      </c>
      <c r="N34" s="21" t="s">
        <v>78</v>
      </c>
    </row>
    <row r="35" spans="2:14" s="43" customFormat="1" ht="14.1" customHeight="1" x14ac:dyDescent="0.2">
      <c r="B35" s="50" t="s">
        <v>82</v>
      </c>
      <c r="C35" s="33">
        <f>C34*365/VLOOKUP(C12,N22:O24,2)</f>
        <v>170.20339885287842</v>
      </c>
      <c r="E35" s="44"/>
      <c r="I35" s="41" t="s">
        <v>106</v>
      </c>
      <c r="N35" s="3">
        <v>1</v>
      </c>
    </row>
    <row r="36" spans="2:14" s="43" customFormat="1" ht="14.1" customHeight="1" x14ac:dyDescent="0.2">
      <c r="B36" s="49" t="s">
        <v>71</v>
      </c>
      <c r="C36" s="33">
        <f>0.0003*C26*SQRT(VLOOKUP(C10,I29:L34,3)*0.41*(VLOOKUP(C4,N27:P32,2)-5)/10)*VLOOKUP(C10,I29:L34,2)^2/(VLOOKUP(C10,I29:P34,2)-0.2)^2</f>
        <v>7.2389351929431661E-2</v>
      </c>
      <c r="E36" s="44"/>
      <c r="F36" s="68"/>
      <c r="G36" s="68"/>
      <c r="H36" s="68"/>
      <c r="I36" s="42" t="s">
        <v>104</v>
      </c>
      <c r="J36" s="68"/>
      <c r="K36" s="68"/>
      <c r="N36" s="4">
        <v>2</v>
      </c>
    </row>
    <row r="37" spans="2:14" s="43" customFormat="1" ht="14.1" customHeight="1" thickBot="1" x14ac:dyDescent="0.25">
      <c r="B37" s="50" t="s">
        <v>83</v>
      </c>
      <c r="C37" s="33">
        <f>C36*365</f>
        <v>26.422113454242556</v>
      </c>
      <c r="E37" s="69"/>
      <c r="F37" s="69"/>
      <c r="G37" s="68"/>
      <c r="H37" s="68"/>
      <c r="I37" s="42" t="s">
        <v>105</v>
      </c>
      <c r="J37" s="70"/>
      <c r="K37" s="68"/>
      <c r="N37" s="4">
        <v>3</v>
      </c>
    </row>
    <row r="38" spans="2:14" ht="15.95" customHeight="1" thickBot="1" x14ac:dyDescent="0.25">
      <c r="B38" s="71" t="s">
        <v>107</v>
      </c>
      <c r="C38" s="85" t="str">
        <f>IF((C35+0.5*C37) &lt;= 250, FIXED(C35+0.5*C37,2) &amp; " kg N/ha/god.", "&gt; " &amp; 250 &amp; " kg N/ha/god.")</f>
        <v>183.41 kg N/ha/god.</v>
      </c>
      <c r="E38" s="73"/>
      <c r="F38" s="68"/>
      <c r="G38" s="74"/>
      <c r="H38" s="74"/>
      <c r="J38" s="74"/>
      <c r="K38" s="74"/>
      <c r="N38" s="4">
        <v>4</v>
      </c>
    </row>
    <row r="39" spans="2:14" ht="14.1" customHeight="1" thickBot="1" x14ac:dyDescent="0.25">
      <c r="F39" s="76"/>
      <c r="N39" s="77">
        <v>5</v>
      </c>
    </row>
    <row r="40" spans="2:14" ht="14.1" customHeight="1" x14ac:dyDescent="0.2">
      <c r="B40" s="78" t="s">
        <v>79</v>
      </c>
      <c r="C40" s="72"/>
      <c r="D40" s="75"/>
      <c r="E40" s="43"/>
      <c r="F40" s="72"/>
      <c r="J40" s="66"/>
    </row>
    <row r="41" spans="2:14" x14ac:dyDescent="0.2">
      <c r="B41" s="94" t="s">
        <v>90</v>
      </c>
      <c r="C41" s="94"/>
      <c r="D41" s="75"/>
      <c r="E41" s="43"/>
      <c r="F41" s="72"/>
    </row>
    <row r="42" spans="2:14" x14ac:dyDescent="0.2">
      <c r="B42" s="94" t="s">
        <v>91</v>
      </c>
      <c r="C42" s="94"/>
      <c r="D42" s="75"/>
      <c r="E42" s="43"/>
      <c r="F42" s="72"/>
    </row>
    <row r="43" spans="2:14" x14ac:dyDescent="0.2">
      <c r="B43" s="94" t="s">
        <v>113</v>
      </c>
      <c r="C43" s="94"/>
      <c r="D43" s="75"/>
      <c r="E43" s="43"/>
      <c r="F43" s="72"/>
    </row>
    <row r="44" spans="2:14" x14ac:dyDescent="0.2">
      <c r="B44" s="94" t="s">
        <v>114</v>
      </c>
      <c r="C44" s="94"/>
      <c r="D44" s="75"/>
      <c r="E44" s="43"/>
      <c r="F44" s="72"/>
    </row>
    <row r="45" spans="2:14" ht="13.5" thickBot="1" x14ac:dyDescent="0.25">
      <c r="C45" s="72"/>
      <c r="D45" s="75"/>
      <c r="E45" s="43"/>
      <c r="F45" s="72"/>
    </row>
    <row r="46" spans="2:14" x14ac:dyDescent="0.2">
      <c r="B46" s="79" t="s">
        <v>80</v>
      </c>
      <c r="C46" s="72"/>
      <c r="D46" s="75"/>
      <c r="E46" s="43"/>
      <c r="F46" s="72"/>
    </row>
    <row r="47" spans="2:14" x14ac:dyDescent="0.2">
      <c r="B47" s="80" t="s">
        <v>88</v>
      </c>
      <c r="C47" s="72"/>
      <c r="D47" s="75"/>
      <c r="E47" s="43"/>
      <c r="F47" s="72"/>
    </row>
    <row r="48" spans="2:14" ht="13.5" thickBot="1" x14ac:dyDescent="0.25">
      <c r="B48" s="81" t="s">
        <v>89</v>
      </c>
      <c r="C48" s="72"/>
      <c r="D48" s="75"/>
      <c r="E48" s="43"/>
      <c r="F48" s="72"/>
    </row>
    <row r="49" spans="2:6" x14ac:dyDescent="0.2">
      <c r="C49" s="72"/>
      <c r="D49" s="75"/>
      <c r="E49" s="43"/>
      <c r="F49" s="72"/>
    </row>
    <row r="50" spans="2:6" x14ac:dyDescent="0.2">
      <c r="C50" s="72"/>
      <c r="D50" s="75"/>
      <c r="E50" s="43"/>
      <c r="F50" s="72"/>
    </row>
    <row r="51" spans="2:6" x14ac:dyDescent="0.2">
      <c r="B51" s="43"/>
      <c r="C51" s="72"/>
      <c r="D51" s="75"/>
      <c r="E51" s="43"/>
      <c r="F51" s="72"/>
    </row>
    <row r="52" spans="2:6" x14ac:dyDescent="0.2">
      <c r="B52" s="43"/>
      <c r="C52" s="72"/>
      <c r="D52" s="75"/>
      <c r="E52" s="43"/>
      <c r="F52" s="72"/>
    </row>
    <row r="53" spans="2:6" x14ac:dyDescent="0.2">
      <c r="B53" s="43"/>
      <c r="C53" s="72"/>
      <c r="F53" s="75"/>
    </row>
    <row r="54" spans="2:6" x14ac:dyDescent="0.2">
      <c r="C54" s="72"/>
      <c r="D54" s="44"/>
      <c r="E54" s="72"/>
      <c r="F54" s="72"/>
    </row>
    <row r="55" spans="2:6" x14ac:dyDescent="0.2">
      <c r="B55" s="82"/>
      <c r="C55" s="72"/>
      <c r="D55" s="44"/>
      <c r="E55" s="72"/>
      <c r="F55" s="72"/>
    </row>
    <row r="56" spans="2:6" x14ac:dyDescent="0.2">
      <c r="B56" s="82"/>
      <c r="C56" s="72"/>
      <c r="D56" s="44"/>
      <c r="E56" s="72"/>
      <c r="F56" s="72"/>
    </row>
    <row r="57" spans="2:6" x14ac:dyDescent="0.2">
      <c r="B57" s="43"/>
      <c r="C57" s="72"/>
      <c r="D57" s="75"/>
      <c r="E57" s="43"/>
      <c r="F57" s="72"/>
    </row>
    <row r="58" spans="2:6" x14ac:dyDescent="0.2">
      <c r="B58" s="43"/>
      <c r="C58" s="72"/>
      <c r="D58" s="75"/>
      <c r="E58" s="43"/>
      <c r="F58" s="72"/>
    </row>
    <row r="59" spans="2:6" x14ac:dyDescent="0.2">
      <c r="B59" s="43"/>
      <c r="C59" s="72"/>
      <c r="D59" s="75"/>
      <c r="E59" s="43"/>
      <c r="F59" s="72"/>
    </row>
    <row r="60" spans="2:6" x14ac:dyDescent="0.2">
      <c r="B60" s="83"/>
      <c r="C60" s="72"/>
      <c r="D60" s="75"/>
      <c r="E60" s="43"/>
      <c r="F60" s="72"/>
    </row>
    <row r="61" spans="2:6" x14ac:dyDescent="0.2">
      <c r="B61" s="83"/>
      <c r="C61" s="72"/>
      <c r="D61" s="75"/>
      <c r="E61" s="43"/>
      <c r="F61" s="72"/>
    </row>
    <row r="62" spans="2:6" x14ac:dyDescent="0.2">
      <c r="B62" s="83"/>
      <c r="C62" s="72"/>
      <c r="D62" s="75"/>
      <c r="E62" s="43"/>
      <c r="F62" s="72"/>
    </row>
    <row r="63" spans="2:6" x14ac:dyDescent="0.2">
      <c r="B63" s="43"/>
      <c r="C63" s="72"/>
      <c r="D63" s="75"/>
      <c r="E63" s="43"/>
      <c r="F63" s="72"/>
    </row>
    <row r="64" spans="2:6" x14ac:dyDescent="0.2">
      <c r="B64" s="43"/>
      <c r="C64" s="72"/>
      <c r="D64" s="75"/>
      <c r="E64" s="43"/>
      <c r="F64" s="72"/>
    </row>
    <row r="65" spans="2:6" x14ac:dyDescent="0.2">
      <c r="B65" s="84"/>
      <c r="C65" s="72"/>
      <c r="D65" s="75"/>
      <c r="E65" s="43"/>
      <c r="F65" s="72"/>
    </row>
    <row r="66" spans="2:6" x14ac:dyDescent="0.2">
      <c r="B66" s="43"/>
      <c r="C66" s="72"/>
      <c r="D66" s="75"/>
      <c r="E66" s="43"/>
      <c r="F66" s="72"/>
    </row>
    <row r="67" spans="2:6" x14ac:dyDescent="0.2">
      <c r="B67" s="43"/>
      <c r="C67" s="72"/>
      <c r="D67" s="75"/>
      <c r="E67" s="43"/>
      <c r="F67" s="72"/>
    </row>
    <row r="68" spans="2:6" x14ac:dyDescent="0.2">
      <c r="B68" s="43"/>
      <c r="C68" s="72"/>
      <c r="D68" s="75"/>
      <c r="E68" s="43"/>
      <c r="F68" s="72"/>
    </row>
    <row r="69" spans="2:6" x14ac:dyDescent="0.2">
      <c r="B69" s="43"/>
      <c r="C69" s="72"/>
      <c r="D69" s="75"/>
      <c r="E69" s="43"/>
      <c r="F69" s="72"/>
    </row>
    <row r="70" spans="2:6" x14ac:dyDescent="0.2">
      <c r="B70" s="43"/>
      <c r="C70" s="72"/>
      <c r="D70" s="75"/>
      <c r="E70" s="43"/>
      <c r="F70" s="72"/>
    </row>
  </sheetData>
  <mergeCells count="11">
    <mergeCell ref="I1:Q1"/>
    <mergeCell ref="B44:C44"/>
    <mergeCell ref="B3:C3"/>
    <mergeCell ref="B20:C20"/>
    <mergeCell ref="B1:C1"/>
    <mergeCell ref="B2:C2"/>
    <mergeCell ref="N2:Q2"/>
    <mergeCell ref="I2:L2"/>
    <mergeCell ref="B41:C41"/>
    <mergeCell ref="B42:C42"/>
    <mergeCell ref="B43:C43"/>
  </mergeCells>
  <phoneticPr fontId="1" type="noConversion"/>
  <dataValidations count="10">
    <dataValidation type="list" allowBlank="1" showInputMessage="1" showErrorMessage="1" prompt="Organski gnoj" sqref="C17" xr:uid="{00000000-0002-0000-0000-000000000000}">
      <formula1>$I$4:$I$26</formula1>
    </dataValidation>
    <dataValidation type="list" allowBlank="1" showInputMessage="1" showErrorMessage="1" prompt="Prinos predusjeva t/ha" sqref="C14" xr:uid="{00000000-0002-0000-0000-000001000000}">
      <formula1>$N$4:$N$19</formula1>
    </dataValidation>
    <dataValidation type="list" allowBlank="1" showInputMessage="1" showErrorMessage="1" prompt="Teksturna klasa" sqref="C10" xr:uid="{00000000-0002-0000-0000-000002000000}">
      <formula1>$I$29:$I$34</formula1>
    </dataValidation>
    <dataValidation type="list" allowBlank="1" showInputMessage="1" showErrorMessage="1" prompt="Biogenost" sqref="C12" xr:uid="{00000000-0002-0000-0000-000003000000}">
      <formula1>$N$22:$N$24</formula1>
    </dataValidation>
    <dataValidation type="list" allowBlank="1" showInputMessage="1" showErrorMessage="1" prompt="Oborine mm/god" sqref="C4" xr:uid="{00000000-0002-0000-0000-000004000000}">
      <formula1>$N$27:$N$32</formula1>
    </dataValidation>
    <dataValidation type="decimal" allowBlank="1" showInputMessage="1" showErrorMessage="1" sqref="E31:E32" xr:uid="{00000000-0002-0000-0000-000005000000}">
      <formula1>0</formula1>
      <formula2>100</formula2>
    </dataValidation>
    <dataValidation type="list" allowBlank="1" showInputMessage="1" showErrorMessage="1" prompt="God. prim. stajnjaka" sqref="O40 C18" xr:uid="{00000000-0002-0000-0000-000006000000}">
      <formula1>$N$35:$N$39</formula1>
    </dataValidation>
    <dataValidation type="decimal" allowBlank="1" showInputMessage="1" showErrorMessage="1" error="Žet. ostaci &gt;= 0,5 t/ha and &lt;= 6.0 t/ha" sqref="C16" xr:uid="{00000000-0002-0000-0000-000007000000}">
      <formula1>0.5</formula1>
      <formula2>6</formula2>
    </dataValidation>
    <dataValidation type="decimal" allowBlank="1" showInputMessage="1" showErrorMessage="1" error="pH-KCl 3,5 - 9,0" sqref="C6" xr:uid="{00000000-0002-0000-0000-000008000000}">
      <formula1>3.5</formula1>
      <formula2>9</formula2>
    </dataValidation>
    <dataValidation type="decimal" allowBlank="1" showInputMessage="1" showErrorMessage="1" error="Humus 0,5 - 20,0%" sqref="C7" xr:uid="{00000000-0002-0000-0000-000009000000}">
      <formula1>0.5</formula1>
      <formula2>20</formula2>
    </dataValidation>
  </dataValidations>
  <hyperlinks>
    <hyperlink ref="B47" r:id="rId1" xr:uid="{00000000-0004-0000-0000-000000000000}"/>
    <hyperlink ref="B48" r:id="rId2" xr:uid="{00000000-0004-0000-0000-000001000000}"/>
  </hyperlinks>
  <pageMargins left="0.75" right="0.75" top="1" bottom="1" header="0.5" footer="0.5"/>
  <pageSetup paperSize="9" orientation="portrait" horizontalDpi="4294967293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Poljoprivredni fakultet u Osijeku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Proračun potrebe N za mineralizaciju žetvenih ostataka</dc:title>
  <dc:creator>Prof. dr. sc. Vladimir Vukadinović</dc:creator>
  <cp:lastModifiedBy>Vladimir Vukadinović</cp:lastModifiedBy>
  <dcterms:created xsi:type="dcterms:W3CDTF">2006-12-23T09:40:25Z</dcterms:created>
  <dcterms:modified xsi:type="dcterms:W3CDTF">2019-12-02T16:40:02Z</dcterms:modified>
</cp:coreProperties>
</file>